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585" firstSheet="1" activeTab="1"/>
  </bookViews>
  <sheets>
    <sheet name="Apklausos forma" sheetId="1" state="hidden" r:id="rId1"/>
    <sheet name="Suvestine" sheetId="2" r:id="rId2"/>
    <sheet name="Detalizacija" sheetId="3" r:id="rId3"/>
  </sheets>
  <calcPr calcId="145621"/>
</workbook>
</file>

<file path=xl/calcChain.xml><?xml version="1.0" encoding="utf-8"?>
<calcChain xmlns="http://schemas.openxmlformats.org/spreadsheetml/2006/main">
  <c r="N19" i="3" l="1"/>
  <c r="O19" i="3" s="1"/>
  <c r="O18" i="3"/>
  <c r="N18" i="3"/>
  <c r="N17" i="3" l="1"/>
  <c r="Q16" i="3" l="1"/>
  <c r="P16" i="3"/>
  <c r="N16" i="3"/>
  <c r="S16" i="3" s="1"/>
  <c r="R16" i="3" l="1"/>
  <c r="O16" i="3"/>
  <c r="N14" i="3"/>
  <c r="Q14" i="3" s="1"/>
  <c r="E14" i="3"/>
  <c r="C14" i="3"/>
  <c r="V16" i="3" l="1"/>
  <c r="R14" i="3"/>
  <c r="O14" i="3"/>
  <c r="S14" i="3"/>
  <c r="P14" i="3"/>
  <c r="V14" i="3" l="1"/>
  <c r="N13" i="3" l="1"/>
  <c r="N12" i="3" l="1"/>
  <c r="V11" i="3" l="1"/>
  <c r="N11" i="3"/>
  <c r="V10" i="3" l="1"/>
  <c r="N10" i="3"/>
  <c r="N8" i="3" l="1"/>
  <c r="O8" i="3" s="1"/>
  <c r="V8" i="3" s="1"/>
  <c r="N7" i="3" l="1"/>
  <c r="N5" i="3" l="1"/>
  <c r="Q5" i="3" s="1"/>
  <c r="O5" i="3" l="1"/>
  <c r="S5" i="3"/>
  <c r="R5" i="3"/>
  <c r="P5" i="3"/>
  <c r="T5" i="3"/>
  <c r="V5" i="3" l="1"/>
  <c r="G39" i="2"/>
  <c r="E32" i="2"/>
  <c r="G55" i="2" l="1"/>
  <c r="C53" i="2"/>
  <c r="E52" i="2"/>
  <c r="F52" i="2" s="1"/>
  <c r="E51" i="2"/>
  <c r="F51" i="2" s="1"/>
  <c r="E50" i="2"/>
  <c r="F50" i="2" s="1"/>
  <c r="E49" i="2"/>
  <c r="F49" i="2" s="1"/>
  <c r="E48" i="2"/>
  <c r="F48" i="2" s="1"/>
  <c r="E47" i="2"/>
  <c r="F47" i="2" s="1"/>
  <c r="E46" i="2"/>
  <c r="F46" i="2" s="1"/>
  <c r="E45" i="2"/>
  <c r="F45" i="2" s="1"/>
  <c r="E44" i="2"/>
  <c r="F44" i="2" s="1"/>
  <c r="E43" i="2"/>
  <c r="F43" i="2" s="1"/>
  <c r="F42" i="2"/>
  <c r="E42" i="2"/>
  <c r="E41" i="2"/>
  <c r="F41" i="2" s="1"/>
  <c r="E40" i="2"/>
  <c r="F40" i="2" s="1"/>
  <c r="E39" i="2"/>
  <c r="F39" i="2" s="1"/>
  <c r="E31" i="2"/>
  <c r="F31" i="2" s="1"/>
  <c r="F20" i="2" l="1"/>
  <c r="E20" i="2"/>
  <c r="C21" i="2"/>
  <c r="G23" i="2" s="1"/>
  <c r="F18" i="2"/>
  <c r="E18" i="2"/>
  <c r="E19" i="2"/>
  <c r="F19" i="2" s="1"/>
  <c r="E7" i="2" l="1"/>
  <c r="F7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6" i="2"/>
  <c r="F6" i="2" s="1"/>
  <c r="G6" i="2"/>
</calcChain>
</file>

<file path=xl/sharedStrings.xml><?xml version="1.0" encoding="utf-8"?>
<sst xmlns="http://schemas.openxmlformats.org/spreadsheetml/2006/main" count="198" uniqueCount="63">
  <si>
    <t>Paskirstymas</t>
  </si>
  <si>
    <t>Perdavimas</t>
  </si>
  <si>
    <t>Galia</t>
  </si>
  <si>
    <t>Terminalo mokestis</t>
  </si>
  <si>
    <t>Nenutrūkstamas gamtinių dujų tiekimas</t>
  </si>
  <si>
    <t>Biržos mokestis</t>
  </si>
  <si>
    <t>mokestis</t>
  </si>
  <si>
    <t>dujų kaina</t>
  </si>
  <si>
    <t>MWh</t>
  </si>
  <si>
    <t>EUR/MWh</t>
  </si>
  <si>
    <t>2015 m sausio mėn. gamtinių dujų kainos</t>
  </si>
  <si>
    <t>Šilumos tiekimo įmonės pavadinimas</t>
  </si>
  <si>
    <r>
      <rPr>
        <b/>
        <sz val="10"/>
        <rFont val="Times New Roman"/>
        <family val="1"/>
        <charset val="186"/>
      </rPr>
      <t>Iš viso</t>
    </r>
    <r>
      <rPr>
        <sz val="10"/>
        <rFont val="Times New Roman"/>
        <family val="1"/>
        <charset val="186"/>
      </rPr>
      <t xml:space="preserve"> nupirktas g.d. kiekis </t>
    </r>
  </si>
  <si>
    <r>
      <t>Bendra gamtinių kaina (</t>
    </r>
    <r>
      <rPr>
        <b/>
        <i/>
        <sz val="10"/>
        <rFont val="Times New Roman"/>
        <family val="1"/>
        <charset val="186"/>
      </rPr>
      <t>g.d. vartojimo vietoje</t>
    </r>
    <r>
      <rPr>
        <b/>
        <sz val="10"/>
        <rFont val="Times New Roman"/>
        <family val="1"/>
        <charset val="186"/>
      </rPr>
      <t>)</t>
    </r>
  </si>
  <si>
    <r>
      <t>Gamtinių dujų pirkimo kaina (</t>
    </r>
    <r>
      <rPr>
        <b/>
        <i/>
        <sz val="10"/>
        <rFont val="Times New Roman"/>
        <family val="1"/>
        <charset val="186"/>
      </rPr>
      <t>produkto</t>
    </r>
    <r>
      <rPr>
        <b/>
        <sz val="10"/>
        <rFont val="Times New Roman"/>
        <family val="1"/>
        <charset val="186"/>
      </rPr>
      <t>)</t>
    </r>
  </si>
  <si>
    <t>Lentelę užpildžiusio specialisto:</t>
  </si>
  <si>
    <t>Vardas, pavardė</t>
  </si>
  <si>
    <t>el. paštas</t>
  </si>
  <si>
    <t>Telefono Nr.</t>
  </si>
  <si>
    <t>Gamtinių dujų perkamas kiekis kaina iš kaskirtojo tiekėjo UAB "Litgas"</t>
  </si>
  <si>
    <t>Gamtinių dujų perkamas kiekis ir kaina iš UAB "Lietuvos dujų tiekimas"</t>
  </si>
  <si>
    <t>Gamtinių dujų perkamas kiekis ir kaina iš UAB "Dujotekana"</t>
  </si>
  <si>
    <r>
      <t>Gamtinių dujų perkamas kiekis ir kaina iš kito tiekėjo (</t>
    </r>
    <r>
      <rPr>
        <i/>
        <sz val="10"/>
        <color rgb="FFC00000"/>
        <rFont val="Times New Roman"/>
        <family val="1"/>
        <charset val="186"/>
      </rPr>
      <t>įrašyti pavadinimą</t>
    </r>
    <r>
      <rPr>
        <sz val="10"/>
        <rFont val="Times New Roman"/>
        <family val="1"/>
        <charset val="186"/>
      </rPr>
      <t>)</t>
    </r>
  </si>
  <si>
    <t>Gamtinių dujų perkamas kiekis ir kaina iš biržos</t>
  </si>
  <si>
    <t>Gamtinių dujų balansavimo pirkimo - pardavimo kiekis ir kaina</t>
  </si>
  <si>
    <t>(2+4+6+8+10+12)</t>
  </si>
  <si>
    <r>
      <rPr>
        <b/>
        <sz val="10"/>
        <color rgb="FFFF0000"/>
        <rFont val="Arial"/>
        <family val="2"/>
        <charset val="186"/>
      </rPr>
      <t>Pastaba</t>
    </r>
    <r>
      <rPr>
        <b/>
        <sz val="10"/>
        <color theme="1"/>
        <rFont val="Arial"/>
        <family val="2"/>
        <charset val="186"/>
      </rPr>
      <t>: gamtinių dujų pirkimo (produkto) ir bendra gamtinių dujų kaina skaičiuojama atsižvelgus į perkamus dujų kiekius atskiruse įmonės objektuose (katilinėse ar elektrinėse) - vertinamas svertinis vidurkis</t>
    </r>
  </si>
  <si>
    <t>Įmonė</t>
  </si>
  <si>
    <t xml:space="preserve">Iš viso nupirktas g.d. kiekis </t>
  </si>
  <si>
    <t>Bendra gamtinių kaina (g.d. vartojimo vietoje)</t>
  </si>
  <si>
    <t>UAB "Anykščių šiluma"</t>
  </si>
  <si>
    <t>UAB Elektrėnų komunalinis ukis</t>
  </si>
  <si>
    <t xml:space="preserve">AB "Jonavos šilumos tinklai" </t>
  </si>
  <si>
    <t>UAB "Kaišiadorių šiluma"</t>
  </si>
  <si>
    <t>AB "Klaipėdos energija"</t>
  </si>
  <si>
    <t>UAB „Pakruojo šiluma“</t>
  </si>
  <si>
    <t>UAB "Radviliškio šiluma"</t>
  </si>
  <si>
    <t>UAB „Šakių šilumos tinklai“</t>
  </si>
  <si>
    <t>UAB "Šalčininkų šilumos tinklai"</t>
  </si>
  <si>
    <t>UAB "Utenos šilumos tinklai"</t>
  </si>
  <si>
    <t>UAB Vilniaus energija</t>
  </si>
  <si>
    <t>UAB "LITESKO"</t>
  </si>
  <si>
    <t>Lt/1000m3</t>
  </si>
  <si>
    <t>Nr.</t>
  </si>
  <si>
    <t>Lt/tne</t>
  </si>
  <si>
    <t>vid</t>
  </si>
  <si>
    <t>vidutiniškai Lt/tne</t>
  </si>
  <si>
    <t>2015 m. sausio mėn.</t>
  </si>
  <si>
    <t>2014 m. gruodis</t>
  </si>
  <si>
    <t>UAB "Birštono šiluma"</t>
  </si>
  <si>
    <t>AB "Panevėžio energija"</t>
  </si>
  <si>
    <t>AB "Šiaulių energija"</t>
  </si>
  <si>
    <t>Eur/1000m</t>
  </si>
  <si>
    <r>
      <t xml:space="preserve">2015 m sausio mėn. gamtinių dujų kainos, įsigyjant dujas nuo gd. </t>
    </r>
    <r>
      <rPr>
        <b/>
        <sz val="10"/>
        <color theme="9" tint="-0.499984740745262"/>
        <rFont val="Arial"/>
        <family val="2"/>
        <charset val="186"/>
      </rPr>
      <t>perdavimo tinklo</t>
    </r>
  </si>
  <si>
    <r>
      <t xml:space="preserve">2015 m sausio mėn. gamtinių dujų kainos, įsigyjant dujas nuo gd. </t>
    </r>
    <r>
      <rPr>
        <b/>
        <sz val="10"/>
        <color theme="9" tint="-0.499984740745262"/>
        <rFont val="Arial"/>
        <family val="2"/>
        <charset val="186"/>
      </rPr>
      <t>skirstomųjų tinklų</t>
    </r>
  </si>
  <si>
    <t>Birštono šiluma</t>
  </si>
  <si>
    <t>-</t>
  </si>
  <si>
    <t>iver.strl 17.</t>
  </si>
  <si>
    <t>UAB "Kaišiadorių šiluma</t>
  </si>
  <si>
    <t>AB „Panevėžio energija“</t>
  </si>
  <si>
    <t>AB Šiaulių energija</t>
  </si>
  <si>
    <t>įskaičiuota į žaliavos kainą</t>
  </si>
  <si>
    <r>
      <t>Gamtinių dujų perkamas kiekis ir kaina iš kito tiekėjo (</t>
    </r>
    <r>
      <rPr>
        <b/>
        <i/>
        <sz val="10"/>
        <color rgb="FFC00000"/>
        <rFont val="Times New Roman"/>
        <family val="1"/>
        <charset val="186"/>
      </rPr>
      <t>įrašyti pavadinimą</t>
    </r>
    <r>
      <rPr>
        <b/>
        <sz val="10"/>
        <rFont val="Times New Roman"/>
        <family val="1"/>
        <charset val="186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</si>
</sst>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L_t_-;\-* #,##0.00\ _L_t_-;_-* &quot;-&quot;??\ _L_t_-;_-@_-"/>
    <numFmt numFmtId="164" formatCode="0.000"/>
    <numFmt numFmtId="165" formatCode="0.0000"/>
  </numFmts>
  <fonts count="26" x14ac:knownFonts="1"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1"/>
      <color theme="1"/>
      <name val="Arial"/>
      <family val="2"/>
      <charset val="186"/>
    </font>
    <font>
      <i/>
      <sz val="10"/>
      <color rgb="FFC0000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b/>
      <i/>
      <sz val="10"/>
      <name val="Times New Roman"/>
      <family val="1"/>
      <charset val="186"/>
    </font>
    <font>
      <b/>
      <i/>
      <sz val="10"/>
      <color theme="1"/>
      <name val="Arial"/>
      <family val="2"/>
      <charset val="186"/>
    </font>
    <font>
      <sz val="10"/>
      <name val="Arial"/>
      <family val="2"/>
      <charset val="186"/>
    </font>
    <font>
      <u/>
      <sz val="10"/>
      <color theme="10"/>
      <name val="Arial"/>
      <family val="2"/>
      <charset val="186"/>
    </font>
    <font>
      <u/>
      <sz val="10"/>
      <color indexed="12"/>
      <name val="Arial"/>
      <family val="2"/>
      <charset val="186"/>
    </font>
    <font>
      <u/>
      <sz val="11"/>
      <color theme="10"/>
      <name val="Calibri"/>
      <family val="2"/>
      <charset val="186"/>
    </font>
    <font>
      <b/>
      <sz val="9"/>
      <color theme="1"/>
      <name val="Arial"/>
      <family val="2"/>
      <charset val="186"/>
    </font>
    <font>
      <b/>
      <i/>
      <sz val="9"/>
      <color theme="1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10"/>
      <color rgb="FF0070C0"/>
      <name val="Arial"/>
      <family val="2"/>
      <charset val="186"/>
    </font>
    <font>
      <b/>
      <sz val="10"/>
      <color theme="9" tint="-0.499984740745262"/>
      <name val="Arial"/>
      <family val="2"/>
      <charset val="186"/>
    </font>
    <font>
      <sz val="10"/>
      <color rgb="FFC00000"/>
      <name val="Arial"/>
      <family val="2"/>
      <charset val="186"/>
    </font>
    <font>
      <b/>
      <sz val="11"/>
      <name val="Times New Roman"/>
      <family val="1"/>
      <charset val="186"/>
    </font>
    <font>
      <b/>
      <i/>
      <sz val="10"/>
      <color rgb="FFC00000"/>
      <name val="Times New Roman"/>
      <family val="1"/>
      <charset val="186"/>
    </font>
    <font>
      <sz val="9"/>
      <color theme="1"/>
      <name val="Arial"/>
      <family val="2"/>
      <charset val="186"/>
    </font>
    <font>
      <sz val="9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gradientFill degree="45">
        <stop position="0">
          <color theme="0"/>
        </stop>
        <stop position="1">
          <color theme="4"/>
        </stop>
      </gradient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C00000"/>
      </bottom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indexed="64"/>
      </bottom>
      <diagonal/>
    </border>
    <border>
      <left style="thin">
        <color indexed="64"/>
      </left>
      <right style="thin">
        <color rgb="FFC00000"/>
      </right>
      <top style="thin">
        <color rgb="FFC00000"/>
      </top>
      <bottom style="thin">
        <color indexed="64"/>
      </bottom>
      <diagonal/>
    </border>
    <border>
      <left style="thin">
        <color rgb="FFC00000"/>
      </left>
      <right style="thin">
        <color indexed="64"/>
      </right>
      <top style="thin">
        <color indexed="64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00000"/>
      </bottom>
      <diagonal/>
    </border>
    <border>
      <left style="thin">
        <color indexed="64"/>
      </left>
      <right style="thin">
        <color rgb="FFC00000"/>
      </right>
      <top style="thin">
        <color indexed="64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2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7" fillId="0" borderId="1" xfId="0" applyFont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6" fillId="0" borderId="6" xfId="0" applyFont="1" applyBorder="1" applyAlignment="1">
      <alignment horizontal="left" vertical="center" wrapText="1"/>
    </xf>
    <xf numFmtId="0" fontId="0" fillId="0" borderId="7" xfId="0" applyBorder="1"/>
    <xf numFmtId="0" fontId="1" fillId="0" borderId="0" xfId="0" applyFont="1" applyBorder="1" applyAlignment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/>
    <xf numFmtId="2" fontId="0" fillId="0" borderId="6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0" fillId="0" borderId="0" xfId="0" applyNumberFormat="1" applyAlignment="1">
      <alignment horizontal="right"/>
    </xf>
    <xf numFmtId="2" fontId="0" fillId="0" borderId="1" xfId="0" applyNumberFormat="1" applyBorder="1"/>
    <xf numFmtId="0" fontId="0" fillId="0" borderId="6" xfId="0" applyBorder="1"/>
    <xf numFmtId="164" fontId="0" fillId="0" borderId="6" xfId="0" applyNumberFormat="1" applyBorder="1" applyAlignment="1">
      <alignment horizontal="center" vertical="center"/>
    </xf>
    <xf numFmtId="2" fontId="0" fillId="0" borderId="6" xfId="0" applyNumberFormat="1" applyBorder="1"/>
    <xf numFmtId="0" fontId="1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3" borderId="0" xfId="0" applyFill="1"/>
    <xf numFmtId="2" fontId="21" fillId="3" borderId="1" xfId="0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center" wrapText="1" shrinkToFit="1"/>
    </xf>
    <xf numFmtId="2" fontId="0" fillId="0" borderId="0" xfId="0" applyNumberFormat="1"/>
    <xf numFmtId="1" fontId="0" fillId="0" borderId="0" xfId="0" applyNumberFormat="1" applyAlignment="1">
      <alignment horizontal="center"/>
    </xf>
    <xf numFmtId="2" fontId="0" fillId="0" borderId="14" xfId="0" applyNumberFormat="1" applyFill="1" applyBorder="1"/>
    <xf numFmtId="0" fontId="22" fillId="0" borderId="1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24" fillId="0" borderId="0" xfId="0" applyFont="1"/>
    <xf numFmtId="0" fontId="24" fillId="0" borderId="1" xfId="0" applyFont="1" applyBorder="1" applyAlignment="1">
      <alignment horizontal="center"/>
    </xf>
    <xf numFmtId="0" fontId="24" fillId="0" borderId="1" xfId="0" quotePrefix="1" applyFont="1" applyBorder="1" applyAlignment="1">
      <alignment horizontal="center"/>
    </xf>
    <xf numFmtId="0" fontId="24" fillId="0" borderId="7" xfId="0" applyFont="1" applyBorder="1" applyAlignment="1">
      <alignment horizontal="left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wrapText="1"/>
    </xf>
    <xf numFmtId="0" fontId="24" fillId="0" borderId="1" xfId="0" applyFont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165" fontId="24" fillId="0" borderId="1" xfId="0" applyNumberFormat="1" applyFont="1" applyBorder="1" applyAlignment="1">
      <alignment horizontal="center"/>
    </xf>
    <xf numFmtId="164" fontId="24" fillId="0" borderId="1" xfId="0" applyNumberFormat="1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2" fontId="24" fillId="0" borderId="18" xfId="0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center" vertical="center" wrapText="1" shrinkToFit="1"/>
    </xf>
    <xf numFmtId="0" fontId="8" fillId="0" borderId="1" xfId="1" applyFont="1" applyFill="1" applyBorder="1" applyAlignment="1">
      <alignment horizontal="center" vertical="center" wrapText="1" shrinkToFit="1"/>
    </xf>
    <xf numFmtId="0" fontId="9" fillId="0" borderId="1" xfId="1" applyFont="1" applyBorder="1" applyAlignment="1">
      <alignment horizontal="center" vertical="center" wrapText="1" shrinkToFit="1"/>
    </xf>
    <xf numFmtId="0" fontId="1" fillId="2" borderId="6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 shrinkToFit="1"/>
    </xf>
    <xf numFmtId="0" fontId="4" fillId="0" borderId="3" xfId="1" applyFont="1" applyFill="1" applyBorder="1" applyAlignment="1">
      <alignment horizontal="center" vertical="center" wrapText="1" shrinkToFit="1"/>
    </xf>
    <xf numFmtId="0" fontId="4" fillId="0" borderId="4" xfId="1" applyFont="1" applyFill="1" applyBorder="1" applyAlignment="1">
      <alignment horizontal="center" vertical="center" wrapText="1" shrinkToFit="1"/>
    </xf>
    <xf numFmtId="0" fontId="4" fillId="0" borderId="5" xfId="1" applyFont="1" applyFill="1" applyBorder="1" applyAlignment="1">
      <alignment horizontal="center" vertical="center" wrapText="1" shrinkToFi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8" fillId="0" borderId="1" xfId="0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4" xfId="0" applyNumberFormat="1" applyFont="1" applyBorder="1" applyAlignment="1">
      <alignment horizontal="center" vertical="center"/>
    </xf>
    <xf numFmtId="1" fontId="18" fillId="0" borderId="6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8" fillId="0" borderId="2" xfId="1" applyFont="1" applyFill="1" applyBorder="1" applyAlignment="1">
      <alignment horizontal="center" vertical="center" wrapText="1" shrinkToFit="1"/>
    </xf>
    <xf numFmtId="0" fontId="8" fillId="0" borderId="3" xfId="1" applyFont="1" applyFill="1" applyBorder="1" applyAlignment="1">
      <alignment horizontal="center" vertical="center" wrapText="1" shrinkToFit="1"/>
    </xf>
    <xf numFmtId="0" fontId="8" fillId="0" borderId="4" xfId="1" applyFont="1" applyFill="1" applyBorder="1" applyAlignment="1">
      <alignment horizontal="center" vertical="center" wrapText="1" shrinkToFit="1"/>
    </xf>
    <xf numFmtId="0" fontId="8" fillId="0" borderId="5" xfId="1" applyFont="1" applyFill="1" applyBorder="1" applyAlignment="1">
      <alignment horizontal="center" vertical="center" wrapText="1" shrinkToFit="1"/>
    </xf>
    <xf numFmtId="0" fontId="8" fillId="0" borderId="1" xfId="1" applyFont="1" applyBorder="1" applyAlignment="1">
      <alignment horizontal="center" vertical="center" wrapText="1"/>
    </xf>
  </cellXfs>
  <cellStyles count="9">
    <cellStyle name="Hyperlink 2" xfId="2"/>
    <cellStyle name="Hyperlink 3" xfId="3"/>
    <cellStyle name="Hyperlink 4" xfId="8"/>
    <cellStyle name="Kablelis 2" xfId="6"/>
    <cellStyle name="Kablelis 3" xfId="7"/>
    <cellStyle name="Normal" xfId="0" builtinId="0"/>
    <cellStyle name="Normal 2" xfId="1"/>
    <cellStyle name="Paprastas 2" xfId="4"/>
    <cellStyle name="Paprastas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5"/>
  <sheetViews>
    <sheetView zoomScale="80" zoomScaleNormal="80" workbookViewId="0">
      <selection activeCell="V6" sqref="V6"/>
    </sheetView>
  </sheetViews>
  <sheetFormatPr defaultRowHeight="12.75" x14ac:dyDescent="0.2"/>
  <cols>
    <col min="1" max="2" width="14.7109375" customWidth="1"/>
    <col min="3" max="3" width="14.7109375" style="3" customWidth="1"/>
    <col min="4" max="4" width="14.7109375" customWidth="1"/>
    <col min="5" max="5" width="14.7109375" style="3" customWidth="1"/>
    <col min="6" max="6" width="14.7109375" customWidth="1"/>
    <col min="7" max="7" width="14.7109375" style="3" customWidth="1"/>
    <col min="8" max="8" width="14.7109375" customWidth="1"/>
    <col min="9" max="9" width="14.7109375" style="3" customWidth="1"/>
    <col min="10" max="10" width="14.7109375" customWidth="1"/>
    <col min="11" max="13" width="14.7109375" style="3" customWidth="1"/>
    <col min="14" max="14" width="17" customWidth="1"/>
    <col min="15" max="15" width="17" style="3" customWidth="1"/>
    <col min="16" max="22" width="14.7109375" customWidth="1"/>
  </cols>
  <sheetData>
    <row r="2" spans="1:22" ht="15" x14ac:dyDescent="0.25">
      <c r="A2" s="65" t="s">
        <v>10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4" spans="1:22" ht="52.5" customHeight="1" x14ac:dyDescent="0.2">
      <c r="A4" s="66" t="s">
        <v>11</v>
      </c>
      <c r="B4" s="59" t="s">
        <v>19</v>
      </c>
      <c r="C4" s="59"/>
      <c r="D4" s="59" t="s">
        <v>20</v>
      </c>
      <c r="E4" s="59"/>
      <c r="F4" s="59" t="s">
        <v>21</v>
      </c>
      <c r="G4" s="59"/>
      <c r="H4" s="59" t="s">
        <v>22</v>
      </c>
      <c r="I4" s="59"/>
      <c r="J4" s="59" t="s">
        <v>23</v>
      </c>
      <c r="K4" s="59"/>
      <c r="L4" s="67" t="s">
        <v>24</v>
      </c>
      <c r="M4" s="68"/>
      <c r="N4" s="7" t="s">
        <v>12</v>
      </c>
      <c r="O4" s="61" t="s">
        <v>14</v>
      </c>
      <c r="P4" s="59" t="s">
        <v>0</v>
      </c>
      <c r="Q4" s="59" t="s">
        <v>1</v>
      </c>
      <c r="R4" s="59" t="s">
        <v>2</v>
      </c>
      <c r="S4" s="59" t="s">
        <v>3</v>
      </c>
      <c r="T4" s="59" t="s">
        <v>4</v>
      </c>
      <c r="U4" s="59" t="s">
        <v>5</v>
      </c>
      <c r="V4" s="61" t="s">
        <v>13</v>
      </c>
    </row>
    <row r="5" spans="1:22" ht="16.5" customHeight="1" x14ac:dyDescent="0.2">
      <c r="A5" s="66"/>
      <c r="B5" s="59"/>
      <c r="C5" s="59"/>
      <c r="D5" s="59"/>
      <c r="E5" s="59"/>
      <c r="F5" s="59"/>
      <c r="G5" s="59"/>
      <c r="H5" s="59"/>
      <c r="I5" s="59"/>
      <c r="J5" s="59"/>
      <c r="K5" s="59"/>
      <c r="L5" s="69"/>
      <c r="M5" s="70"/>
      <c r="N5" s="7" t="s">
        <v>25</v>
      </c>
      <c r="O5" s="62"/>
      <c r="P5" s="60"/>
      <c r="Q5" s="60"/>
      <c r="R5" s="60"/>
      <c r="S5" s="60" t="s">
        <v>6</v>
      </c>
      <c r="T5" s="60"/>
      <c r="U5" s="60"/>
      <c r="V5" s="62" t="s">
        <v>7</v>
      </c>
    </row>
    <row r="6" spans="1:22" ht="15" x14ac:dyDescent="0.25">
      <c r="A6" s="8"/>
      <c r="B6" s="8" t="s">
        <v>8</v>
      </c>
      <c r="C6" s="8" t="s">
        <v>9</v>
      </c>
      <c r="D6" s="8" t="s">
        <v>8</v>
      </c>
      <c r="E6" s="8" t="s">
        <v>9</v>
      </c>
      <c r="F6" s="8" t="s">
        <v>8</v>
      </c>
      <c r="G6" s="8" t="s">
        <v>9</v>
      </c>
      <c r="H6" s="8" t="s">
        <v>8</v>
      </c>
      <c r="I6" s="8" t="s">
        <v>9</v>
      </c>
      <c r="J6" s="8" t="s">
        <v>8</v>
      </c>
      <c r="K6" s="8" t="s">
        <v>9</v>
      </c>
      <c r="L6" s="8" t="s">
        <v>8</v>
      </c>
      <c r="M6" s="8" t="s">
        <v>9</v>
      </c>
      <c r="N6" s="8" t="s">
        <v>8</v>
      </c>
      <c r="O6" s="8" t="s">
        <v>9</v>
      </c>
      <c r="P6" s="8" t="s">
        <v>9</v>
      </c>
      <c r="Q6" s="8" t="s">
        <v>9</v>
      </c>
      <c r="R6" s="8" t="s">
        <v>9</v>
      </c>
      <c r="S6" s="8" t="s">
        <v>9</v>
      </c>
      <c r="T6" s="8" t="s">
        <v>9</v>
      </c>
      <c r="U6" s="8" t="s">
        <v>9</v>
      </c>
      <c r="V6" s="8" t="s">
        <v>9</v>
      </c>
    </row>
    <row r="7" spans="1:22" x14ac:dyDescent="0.2">
      <c r="A7" s="1">
        <v>1</v>
      </c>
      <c r="B7" s="1">
        <v>2</v>
      </c>
      <c r="C7" s="4">
        <v>3</v>
      </c>
      <c r="D7" s="1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4">
        <v>14</v>
      </c>
      <c r="O7" s="4">
        <v>15</v>
      </c>
      <c r="P7" s="4">
        <v>16</v>
      </c>
      <c r="Q7" s="4">
        <v>17</v>
      </c>
      <c r="R7" s="4">
        <v>18</v>
      </c>
      <c r="S7" s="4">
        <v>19</v>
      </c>
      <c r="T7" s="4">
        <v>20</v>
      </c>
      <c r="U7" s="4">
        <v>21</v>
      </c>
      <c r="V7" s="4">
        <v>22</v>
      </c>
    </row>
    <row r="8" spans="1:22" x14ac:dyDescent="0.2">
      <c r="A8" s="2"/>
      <c r="B8" s="2"/>
      <c r="C8" s="5"/>
      <c r="D8" s="2"/>
      <c r="E8" s="5"/>
      <c r="F8" s="2"/>
      <c r="G8" s="5"/>
      <c r="H8" s="2"/>
      <c r="I8" s="5"/>
      <c r="J8" s="2"/>
      <c r="K8" s="5"/>
      <c r="L8" s="5"/>
      <c r="M8" s="5"/>
      <c r="N8" s="2"/>
      <c r="O8" s="5"/>
      <c r="P8" s="2"/>
      <c r="Q8" s="2"/>
      <c r="R8" s="2"/>
      <c r="S8" s="2"/>
      <c r="T8" s="2"/>
      <c r="U8" s="2"/>
      <c r="V8" s="2"/>
    </row>
    <row r="9" spans="1:22" x14ac:dyDescent="0.2">
      <c r="A9" s="12"/>
      <c r="B9" s="12"/>
      <c r="C9" s="12"/>
      <c r="D9" s="12"/>
      <c r="E9" s="12"/>
      <c r="F9" s="12"/>
      <c r="G9" s="12"/>
      <c r="H9" s="12"/>
    </row>
    <row r="10" spans="1:22" s="3" customFormat="1" ht="12.75" customHeight="1" x14ac:dyDescent="0.2">
      <c r="A10" s="71" t="s">
        <v>26</v>
      </c>
      <c r="B10" s="72"/>
      <c r="C10" s="72"/>
      <c r="D10" s="72"/>
      <c r="E10" s="72"/>
      <c r="F10" s="72"/>
      <c r="G10" s="72"/>
      <c r="H10" s="73"/>
      <c r="I10" s="13"/>
    </row>
    <row r="11" spans="1:22" x14ac:dyDescent="0.2">
      <c r="A11" s="74"/>
      <c r="B11" s="75"/>
      <c r="C11" s="75"/>
      <c r="D11" s="75"/>
      <c r="E11" s="75"/>
      <c r="F11" s="75"/>
      <c r="G11" s="75"/>
      <c r="H11" s="76"/>
    </row>
    <row r="12" spans="1:22" ht="36" x14ac:dyDescent="0.2">
      <c r="A12" s="11" t="s">
        <v>15</v>
      </c>
      <c r="B12" s="63"/>
      <c r="C12" s="63"/>
      <c r="D12" s="63"/>
      <c r="E12" s="63"/>
      <c r="F12" s="63"/>
      <c r="G12" s="63"/>
      <c r="H12" s="9"/>
      <c r="I12" s="9"/>
      <c r="J12" s="9"/>
      <c r="K12" s="9"/>
      <c r="L12" s="9"/>
      <c r="M12" s="9"/>
      <c r="N12" s="9"/>
      <c r="O12" s="9"/>
    </row>
    <row r="13" spans="1:22" x14ac:dyDescent="0.2">
      <c r="A13" s="6" t="s">
        <v>16</v>
      </c>
      <c r="B13" s="64"/>
      <c r="C13" s="64"/>
      <c r="D13" s="64"/>
      <c r="E13" s="64"/>
      <c r="F13" s="64"/>
      <c r="G13" s="64"/>
      <c r="H13" s="10"/>
      <c r="I13" s="10"/>
      <c r="J13" s="10"/>
      <c r="K13" s="10"/>
      <c r="L13" s="10"/>
      <c r="M13" s="10"/>
      <c r="N13" s="10"/>
      <c r="O13" s="10"/>
    </row>
    <row r="14" spans="1:22" x14ac:dyDescent="0.2">
      <c r="A14" s="6" t="s">
        <v>17</v>
      </c>
      <c r="B14" s="64"/>
      <c r="C14" s="64"/>
      <c r="D14" s="64"/>
      <c r="E14" s="64"/>
      <c r="F14" s="64"/>
      <c r="G14" s="64"/>
      <c r="H14" s="10"/>
      <c r="I14" s="10"/>
      <c r="J14" s="10"/>
      <c r="K14" s="10"/>
      <c r="L14" s="10"/>
      <c r="M14" s="10"/>
      <c r="N14" s="10"/>
      <c r="O14" s="10"/>
    </row>
    <row r="15" spans="1:22" x14ac:dyDescent="0.2">
      <c r="A15" s="6" t="s">
        <v>18</v>
      </c>
      <c r="B15" s="64"/>
      <c r="C15" s="64"/>
      <c r="D15" s="64"/>
      <c r="E15" s="64"/>
      <c r="F15" s="64"/>
      <c r="G15" s="64"/>
      <c r="H15" s="10"/>
      <c r="I15" s="10"/>
      <c r="J15" s="10"/>
      <c r="K15" s="10"/>
      <c r="L15" s="10"/>
      <c r="M15" s="10"/>
      <c r="N15" s="10"/>
      <c r="O15" s="10"/>
    </row>
  </sheetData>
  <mergeCells count="21">
    <mergeCell ref="B12:G12"/>
    <mergeCell ref="B13:G13"/>
    <mergeCell ref="B14:G14"/>
    <mergeCell ref="B15:G15"/>
    <mergeCell ref="A2:Q2"/>
    <mergeCell ref="A4:A5"/>
    <mergeCell ref="B4:C5"/>
    <mergeCell ref="D4:E5"/>
    <mergeCell ref="F4:G5"/>
    <mergeCell ref="H4:I5"/>
    <mergeCell ref="J4:K5"/>
    <mergeCell ref="L4:M5"/>
    <mergeCell ref="O4:O5"/>
    <mergeCell ref="A10:H11"/>
    <mergeCell ref="U4:U5"/>
    <mergeCell ref="V4:V5"/>
    <mergeCell ref="P4:P5"/>
    <mergeCell ref="Q4:Q5"/>
    <mergeCell ref="R4:R5"/>
    <mergeCell ref="S4:S5"/>
    <mergeCell ref="T4:T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workbookViewId="0">
      <selection activeCell="F31" sqref="F31"/>
    </sheetView>
  </sheetViews>
  <sheetFormatPr defaultRowHeight="12.75" x14ac:dyDescent="0.2"/>
  <cols>
    <col min="1" max="1" width="3.85546875" customWidth="1"/>
    <col min="2" max="2" width="27.42578125" customWidth="1"/>
    <col min="3" max="3" width="15.7109375" customWidth="1"/>
    <col min="4" max="4" width="16.42578125" customWidth="1"/>
    <col min="5" max="6" width="9.5703125" bestFit="1" customWidth="1"/>
    <col min="7" max="8" width="17.28515625" customWidth="1"/>
  </cols>
  <sheetData>
    <row r="1" spans="1:8" x14ac:dyDescent="0.2">
      <c r="A1" s="84" t="s">
        <v>10</v>
      </c>
      <c r="B1" s="84"/>
      <c r="C1" s="84"/>
      <c r="D1" s="84"/>
    </row>
    <row r="3" spans="1:8" ht="25.5" customHeight="1" x14ac:dyDescent="0.2">
      <c r="A3" s="85" t="s">
        <v>43</v>
      </c>
      <c r="B3" s="85" t="s">
        <v>27</v>
      </c>
      <c r="C3" s="19" t="s">
        <v>28</v>
      </c>
      <c r="D3" s="86" t="s">
        <v>29</v>
      </c>
      <c r="E3" s="86"/>
      <c r="F3" s="86"/>
      <c r="G3" s="86"/>
      <c r="H3" s="86"/>
    </row>
    <row r="4" spans="1:8" x14ac:dyDescent="0.2">
      <c r="A4" s="85"/>
      <c r="B4" s="85"/>
      <c r="C4" s="20" t="s">
        <v>8</v>
      </c>
      <c r="D4" s="20" t="s">
        <v>9</v>
      </c>
      <c r="E4" s="20" t="s">
        <v>42</v>
      </c>
      <c r="F4" s="26" t="s">
        <v>44</v>
      </c>
      <c r="G4" s="26" t="s">
        <v>46</v>
      </c>
      <c r="H4" s="26" t="s">
        <v>46</v>
      </c>
    </row>
    <row r="5" spans="1:8" s="3" customFormat="1" x14ac:dyDescent="0.2">
      <c r="A5" s="20"/>
      <c r="B5" s="20"/>
      <c r="C5" s="77" t="s">
        <v>47</v>
      </c>
      <c r="D5" s="77"/>
      <c r="E5" s="77"/>
      <c r="F5" s="77"/>
      <c r="G5" s="77"/>
      <c r="H5" s="27" t="s">
        <v>48</v>
      </c>
    </row>
    <row r="6" spans="1:8" x14ac:dyDescent="0.2">
      <c r="A6" s="23"/>
      <c r="B6" s="23" t="s">
        <v>30</v>
      </c>
      <c r="C6" s="24">
        <v>6251.1930000000002</v>
      </c>
      <c r="D6" s="18">
        <v>39.225037168105359</v>
      </c>
      <c r="E6" s="18">
        <f>D6*10.4*3.4528</f>
        <v>1408.5365666739556</v>
      </c>
      <c r="F6" s="25">
        <f>E6*1.25</f>
        <v>1760.6707083424444</v>
      </c>
      <c r="G6" s="78">
        <f>G23*10.4*3.4528*1.25</f>
        <v>1580.8196990446363</v>
      </c>
      <c r="H6" s="81">
        <v>1474</v>
      </c>
    </row>
    <row r="7" spans="1:8" x14ac:dyDescent="0.2">
      <c r="A7" s="5"/>
      <c r="B7" s="5" t="s">
        <v>31</v>
      </c>
      <c r="C7" s="16">
        <v>464.721</v>
      </c>
      <c r="D7" s="14">
        <v>38.35</v>
      </c>
      <c r="E7" s="14">
        <f t="shared" ref="E7:E20" si="0">D7*10.4*3.4528</f>
        <v>1377.114752</v>
      </c>
      <c r="F7" s="22">
        <f t="shared" ref="F7:F20" si="1">E7*1.25</f>
        <v>1721.3934399999998</v>
      </c>
      <c r="G7" s="79"/>
      <c r="H7" s="82"/>
    </row>
    <row r="8" spans="1:8" x14ac:dyDescent="0.2">
      <c r="A8" s="5"/>
      <c r="B8" s="5" t="s">
        <v>32</v>
      </c>
      <c r="C8" s="16">
        <v>9173.5400000000009</v>
      </c>
      <c r="D8" s="14">
        <v>37.449999999999996</v>
      </c>
      <c r="E8" s="14">
        <f t="shared" si="0"/>
        <v>1344.7965439999998</v>
      </c>
      <c r="F8" s="22">
        <f t="shared" si="1"/>
        <v>1680.9956799999998</v>
      </c>
      <c r="G8" s="79"/>
      <c r="H8" s="82"/>
    </row>
    <row r="9" spans="1:8" x14ac:dyDescent="0.2">
      <c r="A9" s="5"/>
      <c r="B9" s="17" t="s">
        <v>33</v>
      </c>
      <c r="C9" s="16">
        <v>665.654</v>
      </c>
      <c r="D9" s="14">
        <v>38.19</v>
      </c>
      <c r="E9" s="14">
        <f t="shared" si="0"/>
        <v>1371.3692927999998</v>
      </c>
      <c r="F9" s="22">
        <f t="shared" si="1"/>
        <v>1714.2116159999998</v>
      </c>
      <c r="G9" s="79"/>
      <c r="H9" s="82"/>
    </row>
    <row r="10" spans="1:8" x14ac:dyDescent="0.2">
      <c r="A10" s="5"/>
      <c r="B10" s="5" t="s">
        <v>34</v>
      </c>
      <c r="C10" s="16">
        <v>45899.775999999998</v>
      </c>
      <c r="D10" s="14">
        <v>40.29999999999999</v>
      </c>
      <c r="E10" s="14">
        <f t="shared" si="0"/>
        <v>1447.1375359999995</v>
      </c>
      <c r="F10" s="22">
        <f t="shared" si="1"/>
        <v>1808.9219199999993</v>
      </c>
      <c r="G10" s="79"/>
      <c r="H10" s="82"/>
    </row>
    <row r="11" spans="1:8" x14ac:dyDescent="0.2">
      <c r="A11" s="5"/>
      <c r="B11" s="17" t="s">
        <v>35</v>
      </c>
      <c r="C11" s="16">
        <v>248.17099999999999</v>
      </c>
      <c r="D11" s="14">
        <v>40.410000000000004</v>
      </c>
      <c r="E11" s="14">
        <f t="shared" si="0"/>
        <v>1451.0875392000003</v>
      </c>
      <c r="F11" s="22">
        <f t="shared" si="1"/>
        <v>1813.8594240000002</v>
      </c>
      <c r="G11" s="79"/>
      <c r="H11" s="82"/>
    </row>
    <row r="12" spans="1:8" x14ac:dyDescent="0.2">
      <c r="A12" s="5"/>
      <c r="B12" s="5" t="s">
        <v>36</v>
      </c>
      <c r="C12" s="16">
        <v>26.12</v>
      </c>
      <c r="D12" s="14">
        <v>38.729999999999997</v>
      </c>
      <c r="E12" s="14">
        <f t="shared" si="0"/>
        <v>1390.7602175999998</v>
      </c>
      <c r="F12" s="22">
        <f t="shared" si="1"/>
        <v>1738.4502719999998</v>
      </c>
      <c r="G12" s="79"/>
      <c r="H12" s="82"/>
    </row>
    <row r="13" spans="1:8" x14ac:dyDescent="0.2">
      <c r="A13" s="5"/>
      <c r="B13" s="5" t="s">
        <v>37</v>
      </c>
      <c r="C13" s="16">
        <v>292.995</v>
      </c>
      <c r="D13" s="14">
        <v>38.140241301046089</v>
      </c>
      <c r="E13" s="14">
        <f t="shared" si="0"/>
        <v>1369.58250170822</v>
      </c>
      <c r="F13" s="22">
        <f t="shared" si="1"/>
        <v>1711.9781271352749</v>
      </c>
      <c r="G13" s="79"/>
      <c r="H13" s="82"/>
    </row>
    <row r="14" spans="1:8" x14ac:dyDescent="0.2">
      <c r="A14" s="5"/>
      <c r="B14" s="5" t="s">
        <v>38</v>
      </c>
      <c r="C14" s="16">
        <v>5276.8689999999997</v>
      </c>
      <c r="D14" s="14">
        <v>39.53</v>
      </c>
      <c r="E14" s="14">
        <f t="shared" si="0"/>
        <v>1419.4875136000001</v>
      </c>
      <c r="F14" s="22">
        <f t="shared" si="1"/>
        <v>1774.3593920000001</v>
      </c>
      <c r="G14" s="79"/>
      <c r="H14" s="82"/>
    </row>
    <row r="15" spans="1:8" x14ac:dyDescent="0.2">
      <c r="A15" s="5"/>
      <c r="B15" s="5" t="s">
        <v>39</v>
      </c>
      <c r="C15" s="16">
        <v>1022.2969999999999</v>
      </c>
      <c r="D15" s="15">
        <v>50.99</v>
      </c>
      <c r="E15" s="14">
        <f t="shared" si="0"/>
        <v>1831.0060288000002</v>
      </c>
      <c r="F15" s="22">
        <f t="shared" si="1"/>
        <v>2288.7575360000001</v>
      </c>
      <c r="G15" s="79"/>
      <c r="H15" s="82"/>
    </row>
    <row r="16" spans="1:8" x14ac:dyDescent="0.2">
      <c r="A16" s="5"/>
      <c r="B16" s="5" t="s">
        <v>40</v>
      </c>
      <c r="C16" s="16">
        <v>453263.36599999998</v>
      </c>
      <c r="D16" s="14">
        <v>33.781701405235367</v>
      </c>
      <c r="E16" s="14">
        <f t="shared" si="0"/>
        <v>1213.0711695647653</v>
      </c>
      <c r="F16" s="22">
        <f t="shared" si="1"/>
        <v>1516.3389619559566</v>
      </c>
      <c r="G16" s="79"/>
      <c r="H16" s="82"/>
    </row>
    <row r="17" spans="1:12" x14ac:dyDescent="0.2">
      <c r="A17" s="5"/>
      <c r="B17" s="5" t="s">
        <v>41</v>
      </c>
      <c r="C17" s="4">
        <v>44916.269</v>
      </c>
      <c r="D17" s="14">
        <v>40.377728390574923</v>
      </c>
      <c r="E17" s="14">
        <f t="shared" si="0"/>
        <v>1449.9286941045618</v>
      </c>
      <c r="F17" s="22">
        <f t="shared" si="1"/>
        <v>1812.4108676307023</v>
      </c>
      <c r="G17" s="79"/>
      <c r="H17" s="82"/>
    </row>
    <row r="18" spans="1:12" s="3" customFormat="1" x14ac:dyDescent="0.2">
      <c r="A18" s="30"/>
      <c r="B18" s="17" t="s">
        <v>49</v>
      </c>
      <c r="C18" s="4">
        <v>932.4</v>
      </c>
      <c r="D18" s="4">
        <v>33.17</v>
      </c>
      <c r="E18" s="14">
        <f t="shared" si="0"/>
        <v>1191.1055104</v>
      </c>
      <c r="F18" s="22">
        <f t="shared" si="1"/>
        <v>1488.8818879999999</v>
      </c>
      <c r="G18" s="79"/>
      <c r="H18" s="82"/>
    </row>
    <row r="19" spans="1:12" s="3" customFormat="1" x14ac:dyDescent="0.2">
      <c r="A19" s="30"/>
      <c r="B19" s="17" t="s">
        <v>50</v>
      </c>
      <c r="C19" s="4">
        <v>83354.203999999998</v>
      </c>
      <c r="D19" s="15">
        <v>35.457236796903217</v>
      </c>
      <c r="E19" s="14">
        <f t="shared" si="0"/>
        <v>1273.2381710084132</v>
      </c>
      <c r="F19" s="22">
        <f t="shared" si="1"/>
        <v>1591.5477137605167</v>
      </c>
      <c r="G19" s="79"/>
      <c r="H19" s="82"/>
    </row>
    <row r="20" spans="1:12" s="3" customFormat="1" x14ac:dyDescent="0.2">
      <c r="A20" s="30"/>
      <c r="B20" s="17" t="s">
        <v>51</v>
      </c>
      <c r="C20" s="4">
        <v>28159.414000000001</v>
      </c>
      <c r="D20" s="15">
        <v>37.99</v>
      </c>
      <c r="E20" s="14">
        <f t="shared" si="0"/>
        <v>1364.1874688000003</v>
      </c>
      <c r="F20" s="22">
        <f t="shared" si="1"/>
        <v>1705.2343360000004</v>
      </c>
      <c r="G20" s="80"/>
      <c r="H20" s="83"/>
    </row>
    <row r="21" spans="1:12" x14ac:dyDescent="0.2">
      <c r="C21" s="21">
        <f>SUM(C6:C20)</f>
        <v>679946.98900000006</v>
      </c>
    </row>
    <row r="23" spans="1:12" x14ac:dyDescent="0.2">
      <c r="F23" t="s">
        <v>45</v>
      </c>
      <c r="G23" s="31">
        <f>(C6*D6+C7*D7+C8*D8+C9*D9+C10*D10+C11*D11+C12*D12+C13*D13+C14*D14+C15*D15+C16*D16+C17*D17+C18*D18+C19*D19+C20*D20)/C21</f>
        <v>35.218233118375188</v>
      </c>
    </row>
    <row r="26" spans="1:12" x14ac:dyDescent="0.2">
      <c r="A26" s="84" t="s">
        <v>53</v>
      </c>
      <c r="B26" s="84"/>
      <c r="C26" s="84"/>
      <c r="D26" s="84"/>
      <c r="E26" s="84"/>
      <c r="F26" s="84"/>
    </row>
    <row r="28" spans="1:12" ht="25.5" x14ac:dyDescent="0.2">
      <c r="A28" s="85" t="s">
        <v>43</v>
      </c>
      <c r="B28" s="85" t="s">
        <v>27</v>
      </c>
      <c r="C28" s="29" t="s">
        <v>28</v>
      </c>
      <c r="D28" s="86" t="s">
        <v>29</v>
      </c>
      <c r="E28" s="86"/>
      <c r="F28" s="86"/>
      <c r="G28" s="86"/>
      <c r="H28" s="86"/>
    </row>
    <row r="29" spans="1:12" x14ac:dyDescent="0.2">
      <c r="A29" s="85"/>
      <c r="B29" s="85"/>
      <c r="C29" s="28" t="s">
        <v>8</v>
      </c>
      <c r="D29" s="28" t="s">
        <v>9</v>
      </c>
      <c r="E29" s="28" t="s">
        <v>42</v>
      </c>
      <c r="F29" s="26" t="s">
        <v>44</v>
      </c>
      <c r="G29" s="26" t="s">
        <v>46</v>
      </c>
      <c r="H29" s="26" t="s">
        <v>46</v>
      </c>
    </row>
    <row r="30" spans="1:12" x14ac:dyDescent="0.2">
      <c r="A30" s="28"/>
      <c r="B30" s="28"/>
      <c r="C30" s="77" t="s">
        <v>47</v>
      </c>
      <c r="D30" s="77"/>
      <c r="E30" s="77"/>
      <c r="F30" s="77"/>
      <c r="G30" s="77"/>
      <c r="H30" s="27" t="s">
        <v>48</v>
      </c>
    </row>
    <row r="31" spans="1:12" x14ac:dyDescent="0.2">
      <c r="A31" s="5"/>
      <c r="B31" s="5" t="s">
        <v>40</v>
      </c>
      <c r="C31" s="16">
        <v>453263.36599999998</v>
      </c>
      <c r="D31" s="32">
        <v>33.781701405235367</v>
      </c>
      <c r="E31" s="14">
        <f t="shared" ref="E31" si="2">D31*10.4*3.4528</f>
        <v>1213.0711695647653</v>
      </c>
      <c r="F31" s="22">
        <f t="shared" ref="F31" si="3">E31*1.25</f>
        <v>1516.3389619559566</v>
      </c>
      <c r="G31" s="5"/>
      <c r="H31" s="5"/>
      <c r="K31">
        <v>351</v>
      </c>
      <c r="L31" s="3" t="s">
        <v>52</v>
      </c>
    </row>
    <row r="32" spans="1:12" x14ac:dyDescent="0.2">
      <c r="E32" s="35">
        <f>E31/3.4528</f>
        <v>351.32969461444782</v>
      </c>
    </row>
    <row r="34" spans="1:12" x14ac:dyDescent="0.2">
      <c r="A34" s="84" t="s">
        <v>54</v>
      </c>
      <c r="B34" s="84"/>
      <c r="C34" s="84"/>
      <c r="D34" s="84"/>
      <c r="E34" s="84"/>
      <c r="F34" s="84"/>
    </row>
    <row r="36" spans="1:12" ht="25.5" x14ac:dyDescent="0.2">
      <c r="A36" s="85" t="s">
        <v>43</v>
      </c>
      <c r="B36" s="85" t="s">
        <v>27</v>
      </c>
      <c r="C36" s="29" t="s">
        <v>28</v>
      </c>
      <c r="D36" s="86" t="s">
        <v>29</v>
      </c>
      <c r="E36" s="86"/>
      <c r="F36" s="86"/>
      <c r="G36" s="86"/>
      <c r="H36" s="86"/>
    </row>
    <row r="37" spans="1:12" x14ac:dyDescent="0.2">
      <c r="A37" s="85"/>
      <c r="B37" s="85"/>
      <c r="C37" s="28" t="s">
        <v>8</v>
      </c>
      <c r="D37" s="28" t="s">
        <v>9</v>
      </c>
      <c r="E37" s="28" t="s">
        <v>42</v>
      </c>
      <c r="F37" s="26" t="s">
        <v>44</v>
      </c>
      <c r="G37" s="26" t="s">
        <v>46</v>
      </c>
      <c r="H37" s="26" t="s">
        <v>46</v>
      </c>
    </row>
    <row r="38" spans="1:12" x14ac:dyDescent="0.2">
      <c r="A38" s="28"/>
      <c r="B38" s="28"/>
      <c r="C38" s="77" t="s">
        <v>47</v>
      </c>
      <c r="D38" s="77"/>
      <c r="E38" s="77"/>
      <c r="F38" s="77"/>
      <c r="G38" s="77"/>
      <c r="H38" s="27" t="s">
        <v>48</v>
      </c>
    </row>
    <row r="39" spans="1:12" x14ac:dyDescent="0.2">
      <c r="A39" s="23"/>
      <c r="B39" s="23" t="s">
        <v>30</v>
      </c>
      <c r="C39" s="24">
        <v>6251.1930000000002</v>
      </c>
      <c r="D39" s="18">
        <v>39.225037168105359</v>
      </c>
      <c r="E39" s="18">
        <f>D39*10.4*3.4528</f>
        <v>1408.5365666739556</v>
      </c>
      <c r="F39" s="25">
        <f>E39*1.25</f>
        <v>1760.6707083424444</v>
      </c>
      <c r="G39" s="78">
        <f>G55*10.4*3.4528*1.25</f>
        <v>1709.7516242899628</v>
      </c>
      <c r="H39" s="81">
        <v>1474</v>
      </c>
    </row>
    <row r="40" spans="1:12" x14ac:dyDescent="0.2">
      <c r="A40" s="5"/>
      <c r="B40" s="5" t="s">
        <v>31</v>
      </c>
      <c r="C40" s="16">
        <v>464.721</v>
      </c>
      <c r="D40" s="14">
        <v>38.35</v>
      </c>
      <c r="E40" s="14">
        <f t="shared" ref="E40:E52" si="4">D40*10.4*3.4528</f>
        <v>1377.114752</v>
      </c>
      <c r="F40" s="22">
        <f t="shared" ref="F40:F52" si="5">E40*1.25</f>
        <v>1721.3934399999998</v>
      </c>
      <c r="G40" s="79"/>
      <c r="H40" s="82"/>
    </row>
    <row r="41" spans="1:12" x14ac:dyDescent="0.2">
      <c r="A41" s="5"/>
      <c r="B41" s="5" t="s">
        <v>32</v>
      </c>
      <c r="C41" s="16">
        <v>9173.5400000000009</v>
      </c>
      <c r="D41" s="14">
        <v>37.449999999999996</v>
      </c>
      <c r="E41" s="14">
        <f t="shared" si="4"/>
        <v>1344.7965439999998</v>
      </c>
      <c r="F41" s="22">
        <f t="shared" si="5"/>
        <v>1680.9956799999998</v>
      </c>
      <c r="G41" s="79"/>
      <c r="H41" s="82"/>
    </row>
    <row r="42" spans="1:12" x14ac:dyDescent="0.2">
      <c r="A42" s="5"/>
      <c r="B42" s="17" t="s">
        <v>33</v>
      </c>
      <c r="C42" s="16">
        <v>665.654</v>
      </c>
      <c r="D42" s="14">
        <v>38.19</v>
      </c>
      <c r="E42" s="14">
        <f t="shared" si="4"/>
        <v>1371.3692927999998</v>
      </c>
      <c r="F42" s="22">
        <f t="shared" si="5"/>
        <v>1714.2116159999998</v>
      </c>
      <c r="G42" s="79"/>
      <c r="H42" s="82"/>
    </row>
    <row r="43" spans="1:12" x14ac:dyDescent="0.2">
      <c r="A43" s="5"/>
      <c r="B43" s="5" t="s">
        <v>34</v>
      </c>
      <c r="C43" s="16">
        <v>45899.775999999998</v>
      </c>
      <c r="D43" s="14">
        <v>40.29999999999999</v>
      </c>
      <c r="E43" s="14">
        <f t="shared" si="4"/>
        <v>1447.1375359999995</v>
      </c>
      <c r="F43" s="22">
        <f t="shared" si="5"/>
        <v>1808.9219199999993</v>
      </c>
      <c r="G43" s="79"/>
      <c r="H43" s="82"/>
      <c r="K43">
        <v>396</v>
      </c>
      <c r="L43" t="s">
        <v>52</v>
      </c>
    </row>
    <row r="44" spans="1:12" x14ac:dyDescent="0.2">
      <c r="A44" s="5"/>
      <c r="B44" s="17" t="s">
        <v>35</v>
      </c>
      <c r="C44" s="16">
        <v>248.17099999999999</v>
      </c>
      <c r="D44" s="14">
        <v>40.410000000000004</v>
      </c>
      <c r="E44" s="14">
        <f t="shared" si="4"/>
        <v>1451.0875392000003</v>
      </c>
      <c r="F44" s="22">
        <f t="shared" si="5"/>
        <v>1813.8594240000002</v>
      </c>
      <c r="G44" s="79"/>
      <c r="H44" s="82"/>
    </row>
    <row r="45" spans="1:12" x14ac:dyDescent="0.2">
      <c r="A45" s="5"/>
      <c r="B45" s="5" t="s">
        <v>36</v>
      </c>
      <c r="C45" s="16">
        <v>26.12</v>
      </c>
      <c r="D45" s="14">
        <v>38.729999999999997</v>
      </c>
      <c r="E45" s="14">
        <f t="shared" si="4"/>
        <v>1390.7602175999998</v>
      </c>
      <c r="F45" s="22">
        <f t="shared" si="5"/>
        <v>1738.4502719999998</v>
      </c>
      <c r="G45" s="79"/>
      <c r="H45" s="82"/>
    </row>
    <row r="46" spans="1:12" x14ac:dyDescent="0.2">
      <c r="A46" s="5"/>
      <c r="B46" s="5" t="s">
        <v>37</v>
      </c>
      <c r="C46" s="16">
        <v>292.995</v>
      </c>
      <c r="D46" s="14">
        <v>38.140241301046089</v>
      </c>
      <c r="E46" s="14">
        <f t="shared" si="4"/>
        <v>1369.58250170822</v>
      </c>
      <c r="F46" s="22">
        <f t="shared" si="5"/>
        <v>1711.9781271352749</v>
      </c>
      <c r="G46" s="79"/>
      <c r="H46" s="82"/>
    </row>
    <row r="47" spans="1:12" x14ac:dyDescent="0.2">
      <c r="A47" s="5"/>
      <c r="B47" s="5" t="s">
        <v>38</v>
      </c>
      <c r="C47" s="16">
        <v>5276.8689999999997</v>
      </c>
      <c r="D47" s="14">
        <v>39.53</v>
      </c>
      <c r="E47" s="14">
        <f t="shared" si="4"/>
        <v>1419.4875136000001</v>
      </c>
      <c r="F47" s="22">
        <f t="shared" si="5"/>
        <v>1774.3593920000001</v>
      </c>
      <c r="G47" s="79"/>
      <c r="H47" s="82"/>
    </row>
    <row r="48" spans="1:12" x14ac:dyDescent="0.2">
      <c r="A48" s="5"/>
      <c r="B48" s="5" t="s">
        <v>39</v>
      </c>
      <c r="C48" s="16">
        <v>1022.2969999999999</v>
      </c>
      <c r="D48" s="15">
        <v>50.99</v>
      </c>
      <c r="E48" s="14">
        <f t="shared" si="4"/>
        <v>1831.0060288000002</v>
      </c>
      <c r="F48" s="22">
        <f t="shared" si="5"/>
        <v>2288.7575360000001</v>
      </c>
      <c r="G48" s="79"/>
      <c r="H48" s="82"/>
    </row>
    <row r="49" spans="1:8" x14ac:dyDescent="0.2">
      <c r="A49" s="5"/>
      <c r="B49" s="5" t="s">
        <v>41</v>
      </c>
      <c r="C49" s="4">
        <v>44916.269</v>
      </c>
      <c r="D49" s="14">
        <v>40.377728390574923</v>
      </c>
      <c r="E49" s="14">
        <f t="shared" si="4"/>
        <v>1449.9286941045618</v>
      </c>
      <c r="F49" s="22">
        <f t="shared" si="5"/>
        <v>1812.4108676307023</v>
      </c>
      <c r="G49" s="79"/>
      <c r="H49" s="82"/>
    </row>
    <row r="50" spans="1:8" x14ac:dyDescent="0.2">
      <c r="A50" s="30"/>
      <c r="B50" s="17" t="s">
        <v>49</v>
      </c>
      <c r="C50" s="4">
        <v>932.4</v>
      </c>
      <c r="D50" s="4">
        <v>33.17</v>
      </c>
      <c r="E50" s="14">
        <f t="shared" si="4"/>
        <v>1191.1055104</v>
      </c>
      <c r="F50" s="22">
        <f t="shared" si="5"/>
        <v>1488.8818879999999</v>
      </c>
      <c r="G50" s="79"/>
      <c r="H50" s="82"/>
    </row>
    <row r="51" spans="1:8" x14ac:dyDescent="0.2">
      <c r="A51" s="30"/>
      <c r="B51" s="17" t="s">
        <v>50</v>
      </c>
      <c r="C51" s="4">
        <v>83354.203999999998</v>
      </c>
      <c r="D51" s="15">
        <v>35.457236796903217</v>
      </c>
      <c r="E51" s="14">
        <f t="shared" si="4"/>
        <v>1273.2381710084132</v>
      </c>
      <c r="F51" s="22">
        <f t="shared" si="5"/>
        <v>1591.5477137605167</v>
      </c>
      <c r="G51" s="79"/>
      <c r="H51" s="82"/>
    </row>
    <row r="52" spans="1:8" x14ac:dyDescent="0.2">
      <c r="A52" s="30"/>
      <c r="B52" s="17" t="s">
        <v>51</v>
      </c>
      <c r="C52" s="4">
        <v>28159.414000000001</v>
      </c>
      <c r="D52" s="15">
        <v>37.99</v>
      </c>
      <c r="E52" s="14">
        <f t="shared" si="4"/>
        <v>1364.1874688000003</v>
      </c>
      <c r="F52" s="22">
        <f t="shared" si="5"/>
        <v>1705.2343360000004</v>
      </c>
      <c r="G52" s="80"/>
      <c r="H52" s="83"/>
    </row>
    <row r="53" spans="1:8" x14ac:dyDescent="0.2">
      <c r="A53" s="3"/>
      <c r="B53" s="3"/>
      <c r="C53" s="21">
        <f>SUM(C39:C52)</f>
        <v>226683.62299999999</v>
      </c>
      <c r="D53" s="3"/>
      <c r="E53" s="34"/>
      <c r="F53" s="36"/>
      <c r="G53" s="3"/>
      <c r="H53" s="3"/>
    </row>
    <row r="54" spans="1:8" x14ac:dyDescent="0.2">
      <c r="A54" s="3"/>
      <c r="B54" s="3"/>
      <c r="C54" s="3"/>
      <c r="D54" s="3"/>
      <c r="E54" s="3"/>
      <c r="F54" s="3"/>
      <c r="G54" s="3"/>
      <c r="H54" s="3"/>
    </row>
    <row r="55" spans="1:8" x14ac:dyDescent="0.2">
      <c r="A55" s="3"/>
      <c r="B55" s="3"/>
      <c r="C55" s="3"/>
      <c r="D55" s="3"/>
      <c r="E55" s="3"/>
      <c r="F55" s="3" t="s">
        <v>45</v>
      </c>
      <c r="G55" s="31">
        <f>(C39*D39+C40*D40+C41*D41+C42*D42+C43*D43+C44*D44+C45*D45+C46*D46+C47*D47+C48*D48+C49*D49+C50*D50+C51*D51+C52*D52)/C53</f>
        <v>38.090638239866927</v>
      </c>
      <c r="H55" s="3"/>
    </row>
  </sheetData>
  <mergeCells count="19">
    <mergeCell ref="A1:D1"/>
    <mergeCell ref="B3:B4"/>
    <mergeCell ref="A3:A4"/>
    <mergeCell ref="C5:G5"/>
    <mergeCell ref="D3:H3"/>
    <mergeCell ref="G6:G20"/>
    <mergeCell ref="H6:H20"/>
    <mergeCell ref="A26:F26"/>
    <mergeCell ref="A28:A29"/>
    <mergeCell ref="B28:B29"/>
    <mergeCell ref="D28:H28"/>
    <mergeCell ref="C38:G38"/>
    <mergeCell ref="G39:G52"/>
    <mergeCell ref="H39:H52"/>
    <mergeCell ref="C30:G30"/>
    <mergeCell ref="A34:F34"/>
    <mergeCell ref="A36:A37"/>
    <mergeCell ref="B36:B37"/>
    <mergeCell ref="D36:H3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topLeftCell="F1" workbookViewId="0">
      <selection activeCell="J34" sqref="J34"/>
    </sheetView>
  </sheetViews>
  <sheetFormatPr defaultRowHeight="12.75" x14ac:dyDescent="0.2"/>
  <cols>
    <col min="1" max="1" width="21.140625" customWidth="1"/>
    <col min="2" max="13" width="14.7109375" customWidth="1"/>
    <col min="14" max="15" width="17" customWidth="1"/>
    <col min="16" max="22" width="14.7109375" customWidth="1"/>
  </cols>
  <sheetData>
    <row r="1" spans="1:23" ht="25.5" x14ac:dyDescent="0.2">
      <c r="A1" s="93" t="s">
        <v>11</v>
      </c>
      <c r="B1" s="61" t="s">
        <v>19</v>
      </c>
      <c r="C1" s="61"/>
      <c r="D1" s="61" t="s">
        <v>20</v>
      </c>
      <c r="E1" s="61"/>
      <c r="F1" s="61" t="s">
        <v>21</v>
      </c>
      <c r="G1" s="61"/>
      <c r="H1" s="61" t="s">
        <v>62</v>
      </c>
      <c r="I1" s="61"/>
      <c r="J1" s="61" t="s">
        <v>23</v>
      </c>
      <c r="K1" s="61"/>
      <c r="L1" s="89" t="s">
        <v>24</v>
      </c>
      <c r="M1" s="90"/>
      <c r="N1" s="33" t="s">
        <v>28</v>
      </c>
      <c r="O1" s="61" t="s">
        <v>14</v>
      </c>
      <c r="P1" s="61" t="s">
        <v>0</v>
      </c>
      <c r="Q1" s="61" t="s">
        <v>1</v>
      </c>
      <c r="R1" s="61" t="s">
        <v>2</v>
      </c>
      <c r="S1" s="61" t="s">
        <v>3</v>
      </c>
      <c r="T1" s="61" t="s">
        <v>4</v>
      </c>
      <c r="U1" s="61" t="s">
        <v>5</v>
      </c>
      <c r="V1" s="61" t="s">
        <v>13</v>
      </c>
    </row>
    <row r="2" spans="1:23" x14ac:dyDescent="0.2">
      <c r="A2" s="93"/>
      <c r="B2" s="61"/>
      <c r="C2" s="61"/>
      <c r="D2" s="61"/>
      <c r="E2" s="61"/>
      <c r="F2" s="61"/>
      <c r="G2" s="61"/>
      <c r="H2" s="61"/>
      <c r="I2" s="61"/>
      <c r="J2" s="61"/>
      <c r="K2" s="61"/>
      <c r="L2" s="91"/>
      <c r="M2" s="92"/>
      <c r="N2" s="33" t="s">
        <v>25</v>
      </c>
      <c r="O2" s="62"/>
      <c r="P2" s="62"/>
      <c r="Q2" s="62"/>
      <c r="R2" s="62"/>
      <c r="S2" s="62" t="s">
        <v>6</v>
      </c>
      <c r="T2" s="62"/>
      <c r="U2" s="62"/>
      <c r="V2" s="62" t="s">
        <v>7</v>
      </c>
    </row>
    <row r="3" spans="1:23" ht="14.25" x14ac:dyDescent="0.2">
      <c r="A3" s="37"/>
      <c r="B3" s="37" t="s">
        <v>8</v>
      </c>
      <c r="C3" s="37" t="s">
        <v>9</v>
      </c>
      <c r="D3" s="37" t="s">
        <v>8</v>
      </c>
      <c r="E3" s="37" t="s">
        <v>9</v>
      </c>
      <c r="F3" s="37" t="s">
        <v>8</v>
      </c>
      <c r="G3" s="37" t="s">
        <v>9</v>
      </c>
      <c r="H3" s="37" t="s">
        <v>8</v>
      </c>
      <c r="I3" s="37" t="s">
        <v>9</v>
      </c>
      <c r="J3" s="37" t="s">
        <v>8</v>
      </c>
      <c r="K3" s="37" t="s">
        <v>9</v>
      </c>
      <c r="L3" s="37" t="s">
        <v>8</v>
      </c>
      <c r="M3" s="37" t="s">
        <v>9</v>
      </c>
      <c r="N3" s="37" t="s">
        <v>8</v>
      </c>
      <c r="O3" s="37" t="s">
        <v>9</v>
      </c>
      <c r="P3" s="37" t="s">
        <v>9</v>
      </c>
      <c r="Q3" s="37" t="s">
        <v>9</v>
      </c>
      <c r="R3" s="37" t="s">
        <v>9</v>
      </c>
      <c r="S3" s="37" t="s">
        <v>9</v>
      </c>
      <c r="T3" s="37" t="s">
        <v>9</v>
      </c>
      <c r="U3" s="37" t="s">
        <v>9</v>
      </c>
      <c r="V3" s="37" t="s">
        <v>9</v>
      </c>
    </row>
    <row r="4" spans="1:23" x14ac:dyDescent="0.2">
      <c r="A4" s="38">
        <v>1</v>
      </c>
      <c r="B4" s="38">
        <v>2</v>
      </c>
      <c r="C4" s="38">
        <v>3</v>
      </c>
      <c r="D4" s="38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  <c r="J4" s="38">
        <v>10</v>
      </c>
      <c r="K4" s="38">
        <v>11</v>
      </c>
      <c r="L4" s="38">
        <v>12</v>
      </c>
      <c r="M4" s="38">
        <v>13</v>
      </c>
      <c r="N4" s="38">
        <v>14</v>
      </c>
      <c r="O4" s="38">
        <v>15</v>
      </c>
      <c r="P4" s="38">
        <v>16</v>
      </c>
      <c r="Q4" s="38">
        <v>17</v>
      </c>
      <c r="R4" s="38">
        <v>18</v>
      </c>
      <c r="S4" s="38">
        <v>19</v>
      </c>
      <c r="T4" s="38">
        <v>20</v>
      </c>
      <c r="U4" s="38">
        <v>21</v>
      </c>
      <c r="V4" s="38">
        <v>22</v>
      </c>
    </row>
    <row r="5" spans="1:23" x14ac:dyDescent="0.2">
      <c r="A5" s="39" t="s">
        <v>30</v>
      </c>
      <c r="B5" s="41">
        <v>3600.991</v>
      </c>
      <c r="C5" s="41">
        <v>32.590000000000003</v>
      </c>
      <c r="D5" s="41">
        <v>2650.2020000000002</v>
      </c>
      <c r="E5" s="41">
        <v>21.54</v>
      </c>
      <c r="F5" s="41"/>
      <c r="G5" s="41"/>
      <c r="H5" s="41"/>
      <c r="I5" s="41"/>
      <c r="J5" s="41"/>
      <c r="K5" s="41"/>
      <c r="L5" s="41"/>
      <c r="M5" s="41"/>
      <c r="N5" s="41">
        <f>B5+D5</f>
        <v>6251.1930000000002</v>
      </c>
      <c r="O5" s="51">
        <f>(B5*C5+D5*E5)/N5</f>
        <v>27.905337072459609</v>
      </c>
      <c r="P5" s="51">
        <f>44647.03/N5</f>
        <v>7.1421615042120754</v>
      </c>
      <c r="Q5" s="51">
        <f>4250.81/N5</f>
        <v>0.67999980163786344</v>
      </c>
      <c r="R5" s="51">
        <f>8310.16/N5</f>
        <v>1.3293718495013671</v>
      </c>
      <c r="S5" s="51">
        <f>13440.06/N5</f>
        <v>2.1499992081511481</v>
      </c>
      <c r="T5" s="51">
        <f>113.57/N5</f>
        <v>1.8167732143288488E-2</v>
      </c>
      <c r="U5" s="41"/>
      <c r="V5" s="51">
        <f>O5+P5+Q5+R5+S5+T5</f>
        <v>39.225037168105359</v>
      </c>
      <c r="W5" s="40"/>
    </row>
    <row r="6" spans="1:23" x14ac:dyDescent="0.2">
      <c r="A6" s="39" t="s">
        <v>55</v>
      </c>
      <c r="B6" s="41">
        <v>764.97699999999998</v>
      </c>
      <c r="C6" s="41">
        <v>32.590000000000003</v>
      </c>
      <c r="D6" s="41">
        <v>167.42699999999999</v>
      </c>
      <c r="E6" s="41">
        <v>21.91</v>
      </c>
      <c r="F6" s="42" t="s">
        <v>56</v>
      </c>
      <c r="G6" s="42" t="s">
        <v>56</v>
      </c>
      <c r="H6" s="42" t="s">
        <v>56</v>
      </c>
      <c r="I6" s="42" t="s">
        <v>56</v>
      </c>
      <c r="J6" s="42" t="s">
        <v>56</v>
      </c>
      <c r="K6" s="42" t="s">
        <v>56</v>
      </c>
      <c r="L6" s="41">
        <v>263.72399999999999</v>
      </c>
      <c r="M6" s="41">
        <v>2.1539999999999999</v>
      </c>
      <c r="N6" s="41">
        <v>932.4</v>
      </c>
      <c r="O6" s="41">
        <v>23.92</v>
      </c>
      <c r="P6" s="41">
        <v>5.13</v>
      </c>
      <c r="Q6" s="41">
        <v>4.12</v>
      </c>
      <c r="R6" s="41" t="s">
        <v>57</v>
      </c>
      <c r="S6" s="41" t="s">
        <v>57</v>
      </c>
      <c r="T6" s="42" t="s">
        <v>56</v>
      </c>
      <c r="U6" s="42" t="s">
        <v>56</v>
      </c>
      <c r="V6" s="41">
        <v>33.17</v>
      </c>
      <c r="W6" s="40"/>
    </row>
    <row r="7" spans="1:23" x14ac:dyDescent="0.2">
      <c r="A7" s="43" t="s">
        <v>31</v>
      </c>
      <c r="B7" s="54">
        <v>225.578</v>
      </c>
      <c r="C7" s="54">
        <v>32.590000000000003</v>
      </c>
      <c r="D7" s="54">
        <v>239.143</v>
      </c>
      <c r="E7" s="54">
        <v>21.91</v>
      </c>
      <c r="F7" s="41"/>
      <c r="G7" s="41"/>
      <c r="H7" s="41"/>
      <c r="I7" s="41"/>
      <c r="J7" s="41"/>
      <c r="K7" s="41"/>
      <c r="L7" s="41"/>
      <c r="M7" s="41"/>
      <c r="N7" s="41">
        <f>B7+D7</f>
        <v>464.721</v>
      </c>
      <c r="O7" s="41">
        <v>27.09</v>
      </c>
      <c r="P7" s="41">
        <v>7.4</v>
      </c>
      <c r="Q7" s="41">
        <v>1.71</v>
      </c>
      <c r="R7" s="41"/>
      <c r="S7" s="41">
        <v>2.15</v>
      </c>
      <c r="T7" s="41"/>
      <c r="U7" s="41"/>
      <c r="V7" s="41">
        <v>38.35</v>
      </c>
      <c r="W7" s="40"/>
    </row>
    <row r="8" spans="1:23" ht="24" x14ac:dyDescent="0.2">
      <c r="A8" s="44" t="s">
        <v>32</v>
      </c>
      <c r="B8" s="55">
        <v>4902.6679999999997</v>
      </c>
      <c r="C8" s="55">
        <v>32.590000000000003</v>
      </c>
      <c r="D8" s="55">
        <v>4270.8720000000003</v>
      </c>
      <c r="E8" s="55">
        <v>21.05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6">
        <f>B8+D8+F8+H8+J8+L8</f>
        <v>9173.5400000000009</v>
      </c>
      <c r="O8" s="57">
        <f>ROUND(((B8*C8)+(D8*E8))/N8,2)</f>
        <v>27.22</v>
      </c>
      <c r="P8" s="55">
        <v>6.37</v>
      </c>
      <c r="Q8" s="55">
        <v>0.68</v>
      </c>
      <c r="R8" s="55">
        <v>1.02</v>
      </c>
      <c r="S8" s="55">
        <v>2.15</v>
      </c>
      <c r="T8" s="55">
        <v>0.01</v>
      </c>
      <c r="U8" s="55">
        <v>0</v>
      </c>
      <c r="V8" s="55">
        <f>O8+P8+Q8+R8+S8+T8+U8</f>
        <v>37.449999999999996</v>
      </c>
      <c r="W8" s="40"/>
    </row>
    <row r="9" spans="1:23" x14ac:dyDescent="0.2">
      <c r="A9" s="39" t="s">
        <v>58</v>
      </c>
      <c r="B9" s="41">
        <v>259.887</v>
      </c>
      <c r="C9" s="41">
        <v>32.590000000000003</v>
      </c>
      <c r="D9" s="41">
        <v>405.767</v>
      </c>
      <c r="E9" s="41">
        <v>21.91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665.654</v>
      </c>
      <c r="O9" s="41">
        <v>26.08</v>
      </c>
      <c r="P9" s="41">
        <v>8.27</v>
      </c>
      <c r="Q9" s="41">
        <v>0.68</v>
      </c>
      <c r="R9" s="41">
        <v>259.93</v>
      </c>
      <c r="S9" s="41">
        <v>2.15</v>
      </c>
      <c r="T9" s="41">
        <v>0</v>
      </c>
      <c r="U9" s="41">
        <v>0</v>
      </c>
      <c r="V9" s="41">
        <v>38.19</v>
      </c>
      <c r="W9" s="40"/>
    </row>
    <row r="10" spans="1:23" x14ac:dyDescent="0.2">
      <c r="A10" s="45" t="s">
        <v>34</v>
      </c>
      <c r="B10" s="41">
        <v>39229.294999999998</v>
      </c>
      <c r="C10" s="41">
        <v>32.590000000000003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6696</v>
      </c>
      <c r="K10" s="41">
        <v>26.808</v>
      </c>
      <c r="L10" s="41">
        <v>-25.518999999999998</v>
      </c>
      <c r="M10" s="41">
        <v>-1E-3</v>
      </c>
      <c r="N10" s="41">
        <f>SUM(B10,J10,L10)</f>
        <v>45899.775999999998</v>
      </c>
      <c r="O10" s="41">
        <v>31.77</v>
      </c>
      <c r="P10" s="51">
        <v>4.5</v>
      </c>
      <c r="Q10" s="87">
        <v>1.83</v>
      </c>
      <c r="R10" s="88"/>
      <c r="S10" s="41">
        <v>2.15</v>
      </c>
      <c r="T10" s="41">
        <v>0.04</v>
      </c>
      <c r="U10" s="41">
        <v>0.01</v>
      </c>
      <c r="V10" s="41">
        <f>SUM(O10:U10)</f>
        <v>40.29999999999999</v>
      </c>
      <c r="W10" s="40"/>
    </row>
    <row r="11" spans="1:23" x14ac:dyDescent="0.2">
      <c r="A11" s="39" t="s">
        <v>35</v>
      </c>
      <c r="B11" s="41">
        <v>157.501</v>
      </c>
      <c r="C11" s="41">
        <v>32.590000000000003</v>
      </c>
      <c r="D11" s="41">
        <v>90.67</v>
      </c>
      <c r="E11" s="51">
        <v>21.9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f>+B11+D11</f>
        <v>248.17099999999999</v>
      </c>
      <c r="O11" s="41">
        <v>28.69</v>
      </c>
      <c r="P11" s="41">
        <v>7.97</v>
      </c>
      <c r="Q11" s="41">
        <v>0.68</v>
      </c>
      <c r="R11" s="41">
        <v>0.92</v>
      </c>
      <c r="S11" s="41">
        <v>2.15</v>
      </c>
      <c r="T11" s="41">
        <v>0</v>
      </c>
      <c r="U11" s="41">
        <v>0</v>
      </c>
      <c r="V11" s="41">
        <f>+O11+P11+Q11+R11+S11</f>
        <v>40.410000000000004</v>
      </c>
      <c r="W11" s="40"/>
    </row>
    <row r="12" spans="1:23" x14ac:dyDescent="0.2">
      <c r="A12" s="44" t="s">
        <v>59</v>
      </c>
      <c r="B12" s="46">
        <v>50853.171000000002</v>
      </c>
      <c r="C12" s="47">
        <v>32.589999943169722</v>
      </c>
      <c r="D12" s="46">
        <v>0</v>
      </c>
      <c r="E12" s="46" t="s">
        <v>56</v>
      </c>
      <c r="F12" s="48">
        <v>25248.43</v>
      </c>
      <c r="G12" s="47">
        <v>20.449999831489588</v>
      </c>
      <c r="H12" s="41"/>
      <c r="I12" s="41"/>
      <c r="J12" s="48">
        <v>7233</v>
      </c>
      <c r="K12" s="47">
        <v>26.676861606525648</v>
      </c>
      <c r="L12" s="46">
        <v>19.603000000000002</v>
      </c>
      <c r="M12" s="47">
        <v>27.876855583329082</v>
      </c>
      <c r="N12" s="48">
        <f>B12+D12+F12+H12+J12+L12</f>
        <v>83354.203999999998</v>
      </c>
      <c r="O12" s="47">
        <v>28.398512920180693</v>
      </c>
      <c r="P12" s="47">
        <v>3.2886517637430743</v>
      </c>
      <c r="Q12" s="47">
        <v>0.72736022774511333</v>
      </c>
      <c r="R12" s="47">
        <v>0.87745676270869322</v>
      </c>
      <c r="S12" s="47">
        <v>2.1500000358372091</v>
      </c>
      <c r="T12" s="47">
        <v>6.9866108543058456E-3</v>
      </c>
      <c r="U12" s="47">
        <v>7.2731910307854203E-3</v>
      </c>
      <c r="V12" s="47">
        <v>35.457236796903217</v>
      </c>
      <c r="W12" s="40"/>
    </row>
    <row r="13" spans="1:23" x14ac:dyDescent="0.2">
      <c r="A13" s="45" t="s">
        <v>36</v>
      </c>
      <c r="B13" s="41">
        <v>740.44899999999996</v>
      </c>
      <c r="C13" s="41">
        <v>32.590000000000003</v>
      </c>
      <c r="D13" s="41">
        <v>1137.961</v>
      </c>
      <c r="E13" s="41">
        <v>21.91</v>
      </c>
      <c r="F13" s="41"/>
      <c r="G13" s="41"/>
      <c r="H13" s="41"/>
      <c r="I13" s="41"/>
      <c r="J13" s="41"/>
      <c r="K13" s="41"/>
      <c r="L13" s="41"/>
      <c r="M13" s="41"/>
      <c r="N13" s="41">
        <f>B13+D13+F13+H13+J13+L13</f>
        <v>1878.4099999999999</v>
      </c>
      <c r="O13" s="41">
        <v>26.12</v>
      </c>
      <c r="P13" s="41">
        <v>7.39</v>
      </c>
      <c r="Q13" s="41">
        <v>2.59</v>
      </c>
      <c r="R13" s="41">
        <v>259.93</v>
      </c>
      <c r="S13" s="41">
        <v>2.15</v>
      </c>
      <c r="T13" s="41"/>
      <c r="U13" s="41"/>
      <c r="V13" s="41">
        <v>38.729999999999997</v>
      </c>
      <c r="W13" s="40"/>
    </row>
    <row r="14" spans="1:23" x14ac:dyDescent="0.2">
      <c r="A14" s="39" t="s">
        <v>37</v>
      </c>
      <c r="B14" s="41">
        <v>15.933999999999999</v>
      </c>
      <c r="C14" s="51">
        <f>519.23/B14</f>
        <v>32.586293460524665</v>
      </c>
      <c r="D14" s="41">
        <v>277.06099999999998</v>
      </c>
      <c r="E14" s="51">
        <f>6070.41/D14</f>
        <v>21.910012596504021</v>
      </c>
      <c r="F14" s="41"/>
      <c r="G14" s="41"/>
      <c r="H14" s="41"/>
      <c r="I14" s="41"/>
      <c r="J14" s="41"/>
      <c r="K14" s="41"/>
      <c r="L14" s="41"/>
      <c r="M14" s="41"/>
      <c r="N14" s="41">
        <f>B14+D14+F14+H14+J14+L14</f>
        <v>292.995</v>
      </c>
      <c r="O14" s="51">
        <f>(6070.41+519.23)/N14</f>
        <v>22.490622706872127</v>
      </c>
      <c r="P14" s="51">
        <f>2482.73/N14</f>
        <v>8.4736258297923168</v>
      </c>
      <c r="Q14" s="51">
        <f>199.24/N14</f>
        <v>0.68001160429358865</v>
      </c>
      <c r="R14" s="51">
        <f>(43.32+15.05+1214.98)/N14</f>
        <v>4.3459786003174115</v>
      </c>
      <c r="S14" s="51">
        <f>629.94/N14</f>
        <v>2.1500025597706447</v>
      </c>
      <c r="T14" s="51"/>
      <c r="U14" s="51"/>
      <c r="V14" s="51">
        <f>SUM(O14:U14)</f>
        <v>38.140241301046089</v>
      </c>
      <c r="W14" s="40"/>
    </row>
    <row r="15" spans="1:23" ht="24" x14ac:dyDescent="0.2">
      <c r="A15" s="45" t="s">
        <v>38</v>
      </c>
      <c r="B15" s="41">
        <v>2981.7379999999998</v>
      </c>
      <c r="C15" s="41">
        <v>32.590000000000003</v>
      </c>
      <c r="D15" s="41">
        <v>2295.1309999999999</v>
      </c>
      <c r="E15" s="41">
        <v>21.42</v>
      </c>
      <c r="F15" s="41"/>
      <c r="G15" s="41"/>
      <c r="H15" s="41"/>
      <c r="I15" s="41"/>
      <c r="J15" s="41"/>
      <c r="K15" s="41"/>
      <c r="L15" s="41"/>
      <c r="M15" s="41"/>
      <c r="N15" s="41">
        <v>5276.8689999999997</v>
      </c>
      <c r="O15" s="41">
        <v>27.73</v>
      </c>
      <c r="P15" s="41">
        <v>6.62</v>
      </c>
      <c r="Q15" s="41">
        <v>0.68</v>
      </c>
      <c r="R15" s="41">
        <v>2.35</v>
      </c>
      <c r="S15" s="41">
        <v>2.15</v>
      </c>
      <c r="T15" s="41"/>
      <c r="U15" s="41"/>
      <c r="V15" s="41">
        <v>39.53</v>
      </c>
      <c r="W15" s="40"/>
    </row>
    <row r="16" spans="1:23" x14ac:dyDescent="0.2">
      <c r="A16" s="39" t="s">
        <v>60</v>
      </c>
      <c r="B16" s="53">
        <v>15691.689</v>
      </c>
      <c r="C16" s="53">
        <v>32.590000000000003</v>
      </c>
      <c r="D16" s="53"/>
      <c r="E16" s="53"/>
      <c r="F16" s="53">
        <v>7637.17</v>
      </c>
      <c r="G16" s="53">
        <v>20.55</v>
      </c>
      <c r="H16" s="53"/>
      <c r="I16" s="53"/>
      <c r="J16" s="53">
        <v>4792</v>
      </c>
      <c r="K16" s="53">
        <v>26.9</v>
      </c>
      <c r="L16" s="53">
        <v>38.555</v>
      </c>
      <c r="M16" s="53">
        <v>27.25</v>
      </c>
      <c r="N16" s="53">
        <f>B16+D16+F16+H16+J16+L16</f>
        <v>28159.414000000001</v>
      </c>
      <c r="O16" s="53">
        <f>ROUND((B16*C16+D16*E16+F16*G16+H16*I16+J16*K16+L16*M16)/N16,2)</f>
        <v>28.35</v>
      </c>
      <c r="P16" s="53">
        <f>ROUND(P17/$N16,2)</f>
        <v>0</v>
      </c>
      <c r="Q16" s="53">
        <f t="shared" ref="Q16:S16" si="0">ROUND(Q17/$N16,2)</f>
        <v>0</v>
      </c>
      <c r="R16" s="53">
        <f t="shared" si="0"/>
        <v>0</v>
      </c>
      <c r="S16" s="53">
        <f t="shared" si="0"/>
        <v>0</v>
      </c>
      <c r="T16" s="53"/>
      <c r="U16" s="41" t="s">
        <v>61</v>
      </c>
      <c r="V16" s="53">
        <f>O16+P16+Q16+R16+S16</f>
        <v>28.35</v>
      </c>
      <c r="W16" s="40"/>
    </row>
    <row r="17" spans="1:24" ht="24" x14ac:dyDescent="0.2">
      <c r="A17" s="44" t="s">
        <v>39</v>
      </c>
      <c r="B17" s="46">
        <v>1420.0989999999999</v>
      </c>
      <c r="C17" s="46">
        <v>32.590000000000003</v>
      </c>
      <c r="D17" s="46" t="s">
        <v>56</v>
      </c>
      <c r="E17" s="46" t="s">
        <v>56</v>
      </c>
      <c r="F17" s="46" t="s">
        <v>56</v>
      </c>
      <c r="G17" s="46" t="s">
        <v>56</v>
      </c>
      <c r="H17" s="46" t="s">
        <v>56</v>
      </c>
      <c r="I17" s="46" t="s">
        <v>56</v>
      </c>
      <c r="J17" s="46">
        <v>113</v>
      </c>
      <c r="K17" s="46">
        <v>26.56</v>
      </c>
      <c r="L17" s="46">
        <v>-510.80200000000002</v>
      </c>
      <c r="M17" s="46">
        <v>22.98</v>
      </c>
      <c r="N17" s="46">
        <f>SUM(B17+J17+L17)</f>
        <v>1022.2969999999999</v>
      </c>
      <c r="O17" s="46">
        <v>37.520000000000003</v>
      </c>
      <c r="P17" s="46">
        <v>7.62</v>
      </c>
      <c r="Q17" s="46">
        <v>0.68</v>
      </c>
      <c r="R17" s="46">
        <v>39.200000000000003</v>
      </c>
      <c r="S17" s="46">
        <v>2.15</v>
      </c>
      <c r="T17" s="49">
        <v>2.16</v>
      </c>
      <c r="U17" s="46">
        <v>8.4000000000000005E-2</v>
      </c>
      <c r="V17" s="46">
        <v>50.99</v>
      </c>
      <c r="W17" s="40"/>
    </row>
    <row r="18" spans="1:24" x14ac:dyDescent="0.2">
      <c r="A18" s="39" t="s">
        <v>40</v>
      </c>
      <c r="B18" s="50">
        <v>202594.40299999999</v>
      </c>
      <c r="C18" s="41">
        <v>32.589999999999996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50">
        <v>254014</v>
      </c>
      <c r="K18" s="51">
        <v>27.104361255678825</v>
      </c>
      <c r="L18" s="50">
        <v>-3345.0370000000003</v>
      </c>
      <c r="M18" s="51">
        <v>17.979154612067614</v>
      </c>
      <c r="N18" s="50">
        <f>+B18+D18+F18+H18+J18+L18</f>
        <v>453263.36599999998</v>
      </c>
      <c r="O18" s="52">
        <f>+(B18*C18+D18*E18+F18*G18+H18*I18+J18*K18+L18*M18)/N18</f>
        <v>29.623611532646812</v>
      </c>
      <c r="P18" s="53">
        <v>0.19983355548747347</v>
      </c>
      <c r="Q18" s="41">
        <v>0.68</v>
      </c>
      <c r="R18" s="53">
        <v>1.0811817516264925</v>
      </c>
      <c r="S18" s="41">
        <v>2.15</v>
      </c>
      <c r="T18" s="52">
        <v>1.4725105315482304E-3</v>
      </c>
      <c r="U18" s="41">
        <v>8.3999999999999991E-2</v>
      </c>
      <c r="V18" s="51">
        <v>33.781701405235367</v>
      </c>
      <c r="W18" s="40"/>
    </row>
    <row r="19" spans="1:24" x14ac:dyDescent="0.2">
      <c r="A19" s="44" t="s">
        <v>41</v>
      </c>
      <c r="B19" s="46">
        <v>24029.608</v>
      </c>
      <c r="C19" s="47">
        <v>32.590000219728935</v>
      </c>
      <c r="D19" s="46" t="s">
        <v>56</v>
      </c>
      <c r="E19" s="46" t="s">
        <v>56</v>
      </c>
      <c r="F19" s="46" t="s">
        <v>56</v>
      </c>
      <c r="G19" s="46" t="s">
        <v>56</v>
      </c>
      <c r="H19" s="46" t="s">
        <v>56</v>
      </c>
      <c r="I19" s="46" t="s">
        <v>56</v>
      </c>
      <c r="J19" s="46">
        <v>21126</v>
      </c>
      <c r="K19" s="47">
        <v>26.928037962699989</v>
      </c>
      <c r="L19" s="46">
        <v>-239.33899999999988</v>
      </c>
      <c r="M19" s="47">
        <v>6.8811184136308858</v>
      </c>
      <c r="N19" s="46">
        <f>SUM(B19+J19+L19)</f>
        <v>44916.269</v>
      </c>
      <c r="O19" s="47">
        <f>+(B19*C19+J19*K19+L19*M19)/N19</f>
        <v>30.063933849893015</v>
      </c>
      <c r="P19" s="47">
        <v>5.8728177088796043</v>
      </c>
      <c r="Q19" s="47">
        <v>0.67999993499014799</v>
      </c>
      <c r="R19" s="47">
        <v>1.5482610543631758</v>
      </c>
      <c r="S19" s="47">
        <v>2.1500000367350189</v>
      </c>
      <c r="T19" s="47">
        <v>2.3206958707990638E-2</v>
      </c>
      <c r="U19" s="48">
        <v>8.4000284010224385E-2</v>
      </c>
      <c r="V19" s="47">
        <v>40.380000000000003</v>
      </c>
      <c r="W19" s="58"/>
      <c r="X19" s="30"/>
    </row>
    <row r="20" spans="1:24" x14ac:dyDescent="0.2">
      <c r="W20" s="30"/>
    </row>
  </sheetData>
  <mergeCells count="16">
    <mergeCell ref="J1:K2"/>
    <mergeCell ref="A1:A2"/>
    <mergeCell ref="B1:C2"/>
    <mergeCell ref="D1:E2"/>
    <mergeCell ref="F1:G2"/>
    <mergeCell ref="H1:I2"/>
    <mergeCell ref="Q10:R10"/>
    <mergeCell ref="T1:T2"/>
    <mergeCell ref="U1:U2"/>
    <mergeCell ref="V1:V2"/>
    <mergeCell ref="L1:M2"/>
    <mergeCell ref="O1:O2"/>
    <mergeCell ref="P1:P2"/>
    <mergeCell ref="Q1:Q2"/>
    <mergeCell ref="R1:R2"/>
    <mergeCell ref="S1:S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Apklausos forma</vt:lpstr>
      <vt:lpstr>Suvestine</vt:lpstr>
      <vt:lpstr>Detalizacija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Mantas</dc:creator>
  <cp:lastModifiedBy>Mantas</cp:lastModifiedBy>
  <dcterms:created xsi:type="dcterms:W3CDTF">2015-02-17T09:19:16Z</dcterms:created>
  <dcterms:modified xsi:type="dcterms:W3CDTF">2015-03-17T06:38:37Z</dcterms:modified>
</cp:coreProperties>
</file>